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Rentabilité" sheetId="1" r:id="rId1"/>
    <sheet name="Emprun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6" i="1" l="1"/>
  <c r="F8" i="1"/>
  <c r="B14" i="2" l="1"/>
  <c r="G21" i="2" s="1"/>
  <c r="B16" i="2"/>
  <c r="A36" i="2" s="1"/>
  <c r="B15" i="2"/>
  <c r="G6" i="1"/>
  <c r="C29" i="1" s="1"/>
  <c r="E29" i="2"/>
  <c r="G9" i="2"/>
  <c r="B9" i="2"/>
  <c r="C14" i="1"/>
  <c r="F29" i="1" s="1"/>
  <c r="C6" i="1"/>
  <c r="B29" i="1" l="1"/>
  <c r="B25" i="1"/>
  <c r="B28" i="1"/>
  <c r="C28" i="1"/>
  <c r="F25" i="1"/>
  <c r="G25" i="1"/>
  <c r="C24" i="1"/>
  <c r="G24" i="1"/>
  <c r="B27" i="1"/>
  <c r="D29" i="2"/>
  <c r="D34" i="2" s="1"/>
  <c r="B35" i="2" s="1"/>
  <c r="G15" i="2"/>
  <c r="G16" i="2" s="1"/>
  <c r="G14" i="1" s="1"/>
  <c r="A37" i="2"/>
  <c r="C36" i="2"/>
  <c r="C35" i="2"/>
  <c r="C27" i="1"/>
  <c r="F27" i="1"/>
  <c r="C25" i="1"/>
  <c r="F35" i="2" l="1"/>
  <c r="E35" i="2" s="1"/>
  <c r="D35" i="2" s="1"/>
  <c r="B31" i="1"/>
  <c r="B33" i="1" s="1"/>
  <c r="F36" i="2"/>
  <c r="A38" i="2"/>
  <c r="F37" i="2"/>
  <c r="C37" i="2"/>
  <c r="G27" i="1"/>
  <c r="F28" i="1"/>
  <c r="F31" i="1" s="1"/>
  <c r="F33" i="1" s="1"/>
  <c r="B36" i="2" l="1"/>
  <c r="F38" i="2"/>
  <c r="A39" i="2"/>
  <c r="C38" i="2"/>
  <c r="E36" i="2" l="1"/>
  <c r="D36" i="2" s="1"/>
  <c r="A40" i="2"/>
  <c r="C39" i="2"/>
  <c r="F39" i="2"/>
  <c r="F40" i="2" l="1"/>
  <c r="A41" i="2"/>
  <c r="C40" i="2"/>
  <c r="B37" i="2"/>
  <c r="E37" i="2" l="1"/>
  <c r="D37" i="2" s="1"/>
  <c r="C41" i="2"/>
  <c r="A42" i="2"/>
  <c r="F41" i="2"/>
  <c r="B38" i="2" l="1"/>
  <c r="F42" i="2"/>
  <c r="C42" i="2"/>
  <c r="A43" i="2"/>
  <c r="E38" i="2" l="1"/>
  <c r="D38" i="2" s="1"/>
  <c r="A44" i="2"/>
  <c r="C43" i="2"/>
  <c r="F43" i="2"/>
  <c r="B39" i="2" l="1"/>
  <c r="E39" i="2" s="1"/>
  <c r="D39" i="2" s="1"/>
  <c r="F44" i="2"/>
  <c r="A45" i="2"/>
  <c r="C44" i="2"/>
  <c r="B40" i="2" l="1"/>
  <c r="E40" i="2" s="1"/>
  <c r="D40" i="2" s="1"/>
  <c r="C45" i="2"/>
  <c r="A46" i="2"/>
  <c r="A47" i="2" s="1"/>
  <c r="F45" i="2"/>
  <c r="C47" i="2" l="1"/>
  <c r="A48" i="2"/>
  <c r="F47" i="2"/>
  <c r="B41" i="2"/>
  <c r="E41" i="2" s="1"/>
  <c r="D41" i="2" s="1"/>
  <c r="F46" i="2"/>
  <c r="C46" i="2"/>
  <c r="A49" i="2" l="1"/>
  <c r="C48" i="2"/>
  <c r="F48" i="2"/>
  <c r="B42" i="2"/>
  <c r="E42" i="2" s="1"/>
  <c r="D42" i="2" s="1"/>
  <c r="F49" i="2" l="1"/>
  <c r="C49" i="2"/>
  <c r="A50" i="2"/>
  <c r="B43" i="2"/>
  <c r="E43" i="2" s="1"/>
  <c r="D43" i="2" s="1"/>
  <c r="F50" i="2" l="1"/>
  <c r="F29" i="2" s="1"/>
  <c r="G34" i="1" s="1"/>
  <c r="C50" i="2"/>
  <c r="B29" i="2" s="1"/>
  <c r="B44" i="2"/>
  <c r="E44" i="2" s="1"/>
  <c r="D44" i="2" s="1"/>
  <c r="G26" i="1" l="1"/>
  <c r="C26" i="1"/>
  <c r="C31" i="1" s="1"/>
  <c r="C33" i="1" s="1"/>
  <c r="B45" i="2"/>
  <c r="E45" i="2" s="1"/>
  <c r="D45" i="2" s="1"/>
  <c r="B46" i="2" l="1"/>
  <c r="E46" i="2" l="1"/>
  <c r="D46" i="2" s="1"/>
  <c r="B47" i="2" s="1"/>
  <c r="E47" i="2" s="1"/>
  <c r="D47" i="2" s="1"/>
  <c r="B48" i="2" s="1"/>
  <c r="E48" i="2" s="1"/>
  <c r="D48" i="2" s="1"/>
  <c r="B49" i="2" l="1"/>
  <c r="E49" i="2" s="1"/>
  <c r="D49" i="2" s="1"/>
  <c r="B50" i="2" s="1"/>
  <c r="E50" i="2" s="1"/>
  <c r="D50" i="2" s="1"/>
  <c r="C29" i="2" s="1"/>
  <c r="G28" i="1" l="1"/>
  <c r="G29" i="1"/>
  <c r="G31" i="1" l="1"/>
  <c r="G33" i="1" s="1"/>
</calcChain>
</file>

<file path=xl/sharedStrings.xml><?xml version="1.0" encoding="utf-8"?>
<sst xmlns="http://schemas.openxmlformats.org/spreadsheetml/2006/main" count="75" uniqueCount="67">
  <si>
    <t>Frais de notaire</t>
  </si>
  <si>
    <t>Loyer mensuel unitaire</t>
  </si>
  <si>
    <t>Investissement total</t>
  </si>
  <si>
    <t>Loyers annuels</t>
  </si>
  <si>
    <t>Rentabilité Brute</t>
  </si>
  <si>
    <t>Taxe foncière</t>
  </si>
  <si>
    <t>Montant emprunté</t>
  </si>
  <si>
    <t>Charges de copropriété</t>
  </si>
  <si>
    <t>Frais de gestion</t>
  </si>
  <si>
    <t>Autres frais</t>
  </si>
  <si>
    <t>Total annuel</t>
  </si>
  <si>
    <t>Prélèvements sociaux</t>
  </si>
  <si>
    <t>Abattement forfaitaire de 30 %</t>
  </si>
  <si>
    <t xml:space="preserve">Charges déductibles </t>
  </si>
  <si>
    <t>% d'emprunt sur l'investissement</t>
  </si>
  <si>
    <t>Revenu brut annuel</t>
  </si>
  <si>
    <t>Revenu brut (1ère année)</t>
  </si>
  <si>
    <t>Intérêt d'emprunt (1ère année)</t>
  </si>
  <si>
    <t>Frais annuels</t>
  </si>
  <si>
    <t>Impôts sur le revenu</t>
  </si>
  <si>
    <t>Total prêt + charges + impôts</t>
  </si>
  <si>
    <t>Total int.+ charges + impôts</t>
  </si>
  <si>
    <t xml:space="preserve">Salaire net mensuel </t>
  </si>
  <si>
    <t xml:space="preserve">Crédit(s) existant(s) en €/mois </t>
  </si>
  <si>
    <t>Salaire net mensuel du conjoint</t>
  </si>
  <si>
    <t xml:space="preserve">Taux d'endettement autorisé         </t>
  </si>
  <si>
    <t>Autres revenus mensuels nets</t>
  </si>
  <si>
    <t>Revenu mensuel net</t>
  </si>
  <si>
    <t>Revenu annuel net</t>
  </si>
  <si>
    <t>Montant de l'emprunt</t>
  </si>
  <si>
    <t xml:space="preserve">Assurances mensuelles </t>
  </si>
  <si>
    <t>Taux nominal de l'emprunt</t>
  </si>
  <si>
    <t>Mensualité hors assurance</t>
  </si>
  <si>
    <t>Durée de l'emprunt en années</t>
  </si>
  <si>
    <t>Mensualité avec assurance</t>
  </si>
  <si>
    <t xml:space="preserve">Frais de dossier </t>
  </si>
  <si>
    <t xml:space="preserve">Capital disponible </t>
  </si>
  <si>
    <t xml:space="preserve">Frais de garantie </t>
  </si>
  <si>
    <t>Dernière échéance</t>
  </si>
  <si>
    <t>Total Intérêts</t>
  </si>
  <si>
    <t>Assurance</t>
  </si>
  <si>
    <t>Capital</t>
  </si>
  <si>
    <t>Coût total du crédit</t>
  </si>
  <si>
    <t>Intérêts versés</t>
  </si>
  <si>
    <t>Capital 
restant dû</t>
  </si>
  <si>
    <t>Capital remboursé</t>
  </si>
  <si>
    <t>Mensualité</t>
  </si>
  <si>
    <t>Simulateur de rentabilité</t>
  </si>
  <si>
    <t>Simulateur d'emprunt</t>
  </si>
  <si>
    <t>Remboursement emprunt année 1</t>
  </si>
  <si>
    <t>Remboursement capital 1ère année</t>
  </si>
  <si>
    <t>Remplissez les cases grisées</t>
  </si>
  <si>
    <t>Rentabilité Nette de charges avant impôts</t>
  </si>
  <si>
    <t>Frais</t>
  </si>
  <si>
    <t>Année</t>
  </si>
  <si>
    <t>Prix d'achat</t>
  </si>
  <si>
    <t>Si choix du régime Micro foncier</t>
  </si>
  <si>
    <t>Si choix du régime réel</t>
  </si>
  <si>
    <t>Revenus nets nets</t>
  </si>
  <si>
    <t>Tranche marginale d'imposition</t>
  </si>
  <si>
    <t>Taux d'intérêt du prêt</t>
  </si>
  <si>
    <t>Durée du prêt en années</t>
  </si>
  <si>
    <t>Cash flow (reste à rembourser)</t>
  </si>
  <si>
    <t>REVENUS</t>
  </si>
  <si>
    <t>SIMULATION DU CREDIT</t>
  </si>
  <si>
    <t>COUT DU CREDIT</t>
  </si>
  <si>
    <t>ECHEANCIER RECAPITULATIF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</si>
</sst>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[$€-40C];[Red]\-#,##0\ [$€-40C]"/>
    <numFmt numFmtId="165" formatCode="_-* #,##0.00&quot; €&quot;_-;\-* #,##0.00&quot; €&quot;_-;_-* \-??&quot; €&quot;_-;_-@_-"/>
    <numFmt numFmtId="166" formatCode="0.0%"/>
    <numFmt numFmtId="167" formatCode="#,##0.00\ [$€-40C];[Red]\-#,##0.00\ [$€-40C]"/>
    <numFmt numFmtId="168" formatCode="#,##0_ ;\-#,##0\ "/>
    <numFmt numFmtId="169" formatCode="#,##0\ [$€-40C];\-#,##0\ [$€-40C]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i/>
      <sz val="12"/>
      <color theme="3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35">
    <xf numFmtId="0" fontId="0" fillId="0" borderId="0" xfId="0"/>
    <xf numFmtId="165" fontId="0" fillId="0" borderId="0" xfId="0" applyNumberFormat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168" fontId="0" fillId="0" borderId="0" xfId="0" applyNumberFormat="1" applyFont="1"/>
    <xf numFmtId="0" fontId="4" fillId="0" borderId="0" xfId="0" applyFont="1"/>
    <xf numFmtId="0" fontId="5" fillId="0" borderId="0" xfId="0" applyFont="1"/>
    <xf numFmtId="0" fontId="0" fillId="3" borderId="0" xfId="0" applyFill="1"/>
    <xf numFmtId="0" fontId="0" fillId="4" borderId="0" xfId="0" applyFill="1"/>
    <xf numFmtId="166" fontId="2" fillId="4" borderId="0" xfId="0" applyNumberFormat="1" applyFont="1" applyFill="1"/>
    <xf numFmtId="0" fontId="7" fillId="0" borderId="0" xfId="0" applyFont="1"/>
    <xf numFmtId="0" fontId="0" fillId="0" borderId="2" xfId="0" applyBorder="1" applyAlignment="1">
      <alignment horizontal="left"/>
    </xf>
    <xf numFmtId="0" fontId="6" fillId="4" borderId="0" xfId="0" applyFont="1" applyFill="1"/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9" fillId="0" borderId="0" xfId="0" applyFont="1"/>
    <xf numFmtId="166" fontId="2" fillId="4" borderId="0" xfId="0" applyNumberFormat="1" applyFont="1" applyFill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/>
  </sheetViews>
  <sheetFormatPr baseColWidth="10" defaultRowHeight="15" x14ac:dyDescent="0.25"/>
  <cols>
    <col min="1" max="1" width="31.28515625" customWidth="1"/>
    <col min="5" max="5" width="31.42578125" customWidth="1"/>
    <col min="6" max="6" width="13" customWidth="1"/>
  </cols>
  <sheetData>
    <row r="1" spans="1:7" ht="23.25" x14ac:dyDescent="0.35">
      <c r="A1" s="33" t="s">
        <v>47</v>
      </c>
    </row>
    <row r="2" spans="1:7" ht="15.75" x14ac:dyDescent="0.25">
      <c r="A2" s="7" t="s">
        <v>51</v>
      </c>
    </row>
    <row r="3" spans="1:7" x14ac:dyDescent="0.25">
      <c r="A3" s="6"/>
      <c r="G3" s="14"/>
    </row>
    <row r="4" spans="1:7" x14ac:dyDescent="0.25">
      <c r="A4" t="s">
        <v>55</v>
      </c>
      <c r="C4" s="30">
        <v>150000</v>
      </c>
      <c r="D4" s="1"/>
      <c r="G4" s="14"/>
    </row>
    <row r="5" spans="1:7" x14ac:dyDescent="0.25">
      <c r="A5" t="s">
        <v>0</v>
      </c>
      <c r="C5" s="30">
        <v>12000</v>
      </c>
      <c r="D5" s="1"/>
      <c r="E5" t="s">
        <v>1</v>
      </c>
      <c r="G5" s="31">
        <v>700</v>
      </c>
    </row>
    <row r="6" spans="1:7" x14ac:dyDescent="0.25">
      <c r="A6" s="11" t="s">
        <v>2</v>
      </c>
      <c r="C6" s="24">
        <f>SUM(C4:C5)</f>
        <v>162000</v>
      </c>
      <c r="D6" s="1"/>
      <c r="E6" s="11" t="s">
        <v>3</v>
      </c>
      <c r="G6" s="24">
        <f>G5*12</f>
        <v>8400</v>
      </c>
    </row>
    <row r="7" spans="1:7" x14ac:dyDescent="0.25">
      <c r="C7" s="14"/>
      <c r="G7" s="14"/>
    </row>
    <row r="8" spans="1:7" ht="18.75" x14ac:dyDescent="0.3">
      <c r="A8" s="10" t="s">
        <v>4</v>
      </c>
      <c r="B8" s="9"/>
      <c r="C8" s="18"/>
      <c r="D8" s="9"/>
      <c r="E8" s="9"/>
      <c r="F8" s="34">
        <f>G6/C6</f>
        <v>5.185185185185185E-2</v>
      </c>
      <c r="G8" s="14"/>
    </row>
    <row r="9" spans="1:7" x14ac:dyDescent="0.25">
      <c r="C9" s="14"/>
      <c r="F9" s="14"/>
      <c r="G9" s="14"/>
    </row>
    <row r="10" spans="1:7" x14ac:dyDescent="0.25">
      <c r="A10" t="s">
        <v>5</v>
      </c>
      <c r="C10" s="31">
        <v>600</v>
      </c>
      <c r="D10" s="1"/>
      <c r="E10" t="s">
        <v>6</v>
      </c>
      <c r="F10" s="14"/>
      <c r="G10" s="31">
        <v>150000</v>
      </c>
    </row>
    <row r="11" spans="1:7" x14ac:dyDescent="0.25">
      <c r="A11" t="s">
        <v>7</v>
      </c>
      <c r="C11" s="31">
        <v>600</v>
      </c>
      <c r="D11" s="1"/>
      <c r="E11" t="s">
        <v>60</v>
      </c>
      <c r="F11" s="14"/>
      <c r="G11" s="22">
        <v>1.4E-2</v>
      </c>
    </row>
    <row r="12" spans="1:7" x14ac:dyDescent="0.25">
      <c r="A12" t="s">
        <v>8</v>
      </c>
      <c r="C12" s="31">
        <v>0</v>
      </c>
      <c r="D12" s="1"/>
      <c r="E12" t="s">
        <v>61</v>
      </c>
      <c r="F12" s="14"/>
      <c r="G12" s="19">
        <v>15</v>
      </c>
    </row>
    <row r="13" spans="1:7" x14ac:dyDescent="0.25">
      <c r="A13" t="s">
        <v>9</v>
      </c>
      <c r="C13" s="31">
        <v>0</v>
      </c>
      <c r="D13" s="1"/>
      <c r="F13" s="14"/>
      <c r="G13" s="14"/>
    </row>
    <row r="14" spans="1:7" x14ac:dyDescent="0.25">
      <c r="A14" s="11" t="s">
        <v>10</v>
      </c>
      <c r="C14" s="24">
        <f>SUM(C10:C13)</f>
        <v>1200</v>
      </c>
      <c r="D14" s="1"/>
      <c r="E14" s="11" t="s">
        <v>62</v>
      </c>
      <c r="F14" s="14"/>
      <c r="G14" s="32">
        <f>Emprunt!G16+G5</f>
        <v>-254.37782025815363</v>
      </c>
    </row>
    <row r="15" spans="1:7" x14ac:dyDescent="0.25">
      <c r="F15" s="14"/>
      <c r="G15" s="14"/>
    </row>
    <row r="16" spans="1:7" ht="18.75" x14ac:dyDescent="0.3">
      <c r="A16" s="10" t="s">
        <v>52</v>
      </c>
      <c r="B16" s="9"/>
      <c r="C16" s="9"/>
      <c r="D16" s="9"/>
      <c r="E16" s="9"/>
      <c r="F16" s="34">
        <f>(G6-C14)/C6</f>
        <v>4.4444444444444446E-2</v>
      </c>
      <c r="G16" s="14"/>
    </row>
    <row r="17" spans="1:7" x14ac:dyDescent="0.25">
      <c r="B17" s="14"/>
      <c r="C17" s="14"/>
      <c r="F17" s="14"/>
      <c r="G17" s="14"/>
    </row>
    <row r="18" spans="1:7" x14ac:dyDescent="0.25">
      <c r="A18" t="s">
        <v>59</v>
      </c>
      <c r="B18" s="14"/>
      <c r="C18" s="22">
        <v>0.14000000000000001</v>
      </c>
      <c r="E18" t="s">
        <v>11</v>
      </c>
      <c r="F18" s="14"/>
      <c r="G18" s="20">
        <v>0.17499999999999999</v>
      </c>
    </row>
    <row r="19" spans="1:7" x14ac:dyDescent="0.25">
      <c r="B19" s="14"/>
      <c r="C19" s="14"/>
      <c r="F19" s="14"/>
      <c r="G19" s="20"/>
    </row>
    <row r="20" spans="1:7" x14ac:dyDescent="0.25">
      <c r="B20" s="14"/>
      <c r="C20" s="14"/>
      <c r="F20" s="14"/>
      <c r="G20" s="14"/>
    </row>
    <row r="21" spans="1:7" x14ac:dyDescent="0.25">
      <c r="A21" s="12" t="s">
        <v>56</v>
      </c>
      <c r="B21" s="23"/>
      <c r="C21" s="23"/>
      <c r="E21" s="12" t="s">
        <v>57</v>
      </c>
      <c r="F21" s="23"/>
      <c r="G21" s="23"/>
    </row>
    <row r="22" spans="1:7" x14ac:dyDescent="0.25">
      <c r="B22" s="14"/>
      <c r="C22" s="14"/>
      <c r="F22" s="14"/>
      <c r="G22" s="14"/>
    </row>
    <row r="23" spans="1:7" x14ac:dyDescent="0.25">
      <c r="A23" s="2" t="s">
        <v>12</v>
      </c>
      <c r="B23" s="14"/>
      <c r="C23" s="14"/>
      <c r="E23" s="2" t="s">
        <v>13</v>
      </c>
      <c r="F23" s="14"/>
      <c r="G23" s="14"/>
    </row>
    <row r="24" spans="1:7" x14ac:dyDescent="0.25">
      <c r="A24" t="s">
        <v>14</v>
      </c>
      <c r="B24" s="22">
        <v>0</v>
      </c>
      <c r="C24" s="20">
        <f>G10/C6</f>
        <v>0.92592592592592593</v>
      </c>
      <c r="E24" t="s">
        <v>14</v>
      </c>
      <c r="F24" s="22">
        <v>0</v>
      </c>
      <c r="G24" s="20">
        <f>G10/C6</f>
        <v>0.92592592592592593</v>
      </c>
    </row>
    <row r="25" spans="1:7" x14ac:dyDescent="0.25">
      <c r="A25" t="s">
        <v>15</v>
      </c>
      <c r="B25" s="24">
        <f>$G$6</f>
        <v>8400</v>
      </c>
      <c r="C25" s="24">
        <f>$G$6</f>
        <v>8400</v>
      </c>
      <c r="E25" t="s">
        <v>16</v>
      </c>
      <c r="F25" s="24">
        <f>G6</f>
        <v>8400</v>
      </c>
      <c r="G25" s="24">
        <f>G6</f>
        <v>8400</v>
      </c>
    </row>
    <row r="26" spans="1:7" x14ac:dyDescent="0.25">
      <c r="A26" t="s">
        <v>49</v>
      </c>
      <c r="B26" s="24"/>
      <c r="C26" s="24">
        <f>Emprunt!F29</f>
        <v>500</v>
      </c>
      <c r="E26" t="s">
        <v>17</v>
      </c>
      <c r="F26" s="20"/>
      <c r="G26" s="24">
        <f>Emprunt!F29</f>
        <v>500</v>
      </c>
    </row>
    <row r="27" spans="1:7" x14ac:dyDescent="0.25">
      <c r="A27" t="s">
        <v>18</v>
      </c>
      <c r="B27" s="24">
        <f>$C$14</f>
        <v>1200</v>
      </c>
      <c r="C27" s="24">
        <f>$C$14</f>
        <v>1200</v>
      </c>
      <c r="E27" t="s">
        <v>18</v>
      </c>
      <c r="F27" s="24">
        <f>C14</f>
        <v>1200</v>
      </c>
      <c r="G27" s="24">
        <f>F27</f>
        <v>1200</v>
      </c>
    </row>
    <row r="28" spans="1:7" x14ac:dyDescent="0.25">
      <c r="A28" t="s">
        <v>11</v>
      </c>
      <c r="B28" s="24">
        <f>$G$6*0.7*$G$18</f>
        <v>1029</v>
      </c>
      <c r="C28" s="24">
        <f>$G$6*0.7*$G$18</f>
        <v>1029</v>
      </c>
      <c r="E28" t="s">
        <v>11</v>
      </c>
      <c r="F28" s="24">
        <f>(F25-F27)*$G$18</f>
        <v>1260</v>
      </c>
      <c r="G28" s="24">
        <f>($G$25-$G$26-$G$27)*$G$18</f>
        <v>1172.5</v>
      </c>
    </row>
    <row r="29" spans="1:7" x14ac:dyDescent="0.25">
      <c r="A29" t="s">
        <v>19</v>
      </c>
      <c r="B29" s="24">
        <f>$G$6*0.7*$C$18</f>
        <v>823.20000000000016</v>
      </c>
      <c r="C29" s="24">
        <f>$G$6*0.7*$C$18</f>
        <v>823.20000000000016</v>
      </c>
      <c r="E29" t="s">
        <v>19</v>
      </c>
      <c r="F29" s="24">
        <f>(G6-C14)*$C$18</f>
        <v>1008.0000000000001</v>
      </c>
      <c r="G29" s="24">
        <f>($G$25-$G$26-$G$27)*$C$18</f>
        <v>938.00000000000011</v>
      </c>
    </row>
    <row r="30" spans="1:7" x14ac:dyDescent="0.25">
      <c r="B30" s="14"/>
      <c r="C30" s="14"/>
      <c r="F30" s="14"/>
      <c r="G30" s="14"/>
    </row>
    <row r="31" spans="1:7" x14ac:dyDescent="0.25">
      <c r="A31" t="s">
        <v>20</v>
      </c>
      <c r="B31" s="25">
        <f>-SUM(B27:B29)</f>
        <v>-3052.2000000000003</v>
      </c>
      <c r="C31" s="25">
        <f>-SUM(C26:C29)</f>
        <v>-3552.2000000000003</v>
      </c>
      <c r="D31" s="4"/>
      <c r="E31" s="4" t="s">
        <v>21</v>
      </c>
      <c r="F31" s="25">
        <f>SUM(F27:F29)*(-1)</f>
        <v>-3468</v>
      </c>
      <c r="G31" s="25">
        <f>SUM(G26:G29)*(-1)</f>
        <v>-3810.5</v>
      </c>
    </row>
    <row r="32" spans="1:7" x14ac:dyDescent="0.25">
      <c r="B32" s="25"/>
      <c r="C32" s="26"/>
      <c r="D32" s="5"/>
      <c r="E32" s="4"/>
      <c r="F32" s="28"/>
      <c r="G32" s="28"/>
    </row>
    <row r="33" spans="1:7" x14ac:dyDescent="0.25">
      <c r="A33" s="13" t="s">
        <v>58</v>
      </c>
      <c r="B33" s="25">
        <f>B25+B31</f>
        <v>5347.7999999999993</v>
      </c>
      <c r="C33" s="27">
        <f>G6+C31</f>
        <v>4847.7999999999993</v>
      </c>
      <c r="D33" s="5"/>
      <c r="E33" s="13" t="s">
        <v>58</v>
      </c>
      <c r="F33" s="25">
        <f>G6+F31</f>
        <v>4932</v>
      </c>
      <c r="G33" s="27">
        <f>G6+G31</f>
        <v>4589.5</v>
      </c>
    </row>
    <row r="34" spans="1:7" x14ac:dyDescent="0.25">
      <c r="B34" s="3"/>
      <c r="C34" s="4"/>
      <c r="D34" s="5"/>
      <c r="E34" s="4" t="s">
        <v>50</v>
      </c>
      <c r="F34" s="25"/>
      <c r="G34" s="29">
        <f>Emprunt!F29</f>
        <v>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/>
  </sheetViews>
  <sheetFormatPr baseColWidth="10" defaultRowHeight="15" x14ac:dyDescent="0.25"/>
  <cols>
    <col min="1" max="1" width="30" customWidth="1"/>
    <col min="2" max="2" width="14.5703125" customWidth="1"/>
    <col min="3" max="3" width="14.28515625" customWidth="1"/>
    <col min="5" max="6" width="17.85546875" customWidth="1"/>
    <col min="7" max="7" width="17.7109375" bestFit="1" customWidth="1"/>
  </cols>
  <sheetData>
    <row r="1" spans="1:7" ht="23.25" x14ac:dyDescent="0.35">
      <c r="A1" s="33" t="s">
        <v>48</v>
      </c>
    </row>
    <row r="2" spans="1:7" ht="15.75" x14ac:dyDescent="0.25">
      <c r="A2" s="7" t="s">
        <v>51</v>
      </c>
    </row>
    <row r="3" spans="1:7" ht="15.75" x14ac:dyDescent="0.25">
      <c r="A3" s="7"/>
    </row>
    <row r="4" spans="1:7" x14ac:dyDescent="0.25">
      <c r="A4" s="13" t="s">
        <v>63</v>
      </c>
      <c r="B4" s="18"/>
      <c r="C4" s="9"/>
      <c r="D4" s="9"/>
      <c r="E4" s="9"/>
      <c r="F4" s="9"/>
      <c r="G4" s="18"/>
    </row>
    <row r="5" spans="1:7" x14ac:dyDescent="0.25">
      <c r="B5" s="14"/>
      <c r="G5" s="14"/>
    </row>
    <row r="6" spans="1:7" x14ac:dyDescent="0.25">
      <c r="A6" t="s">
        <v>22</v>
      </c>
      <c r="B6" s="19">
        <v>3500</v>
      </c>
      <c r="D6" t="s">
        <v>23</v>
      </c>
      <c r="G6" s="19">
        <v>1700</v>
      </c>
    </row>
    <row r="7" spans="1:7" x14ac:dyDescent="0.25">
      <c r="A7" t="s">
        <v>24</v>
      </c>
      <c r="B7" s="19">
        <v>2500</v>
      </c>
      <c r="D7" t="s">
        <v>25</v>
      </c>
      <c r="G7" s="19">
        <v>0.33</v>
      </c>
    </row>
    <row r="8" spans="1:7" x14ac:dyDescent="0.25">
      <c r="A8" t="s">
        <v>26</v>
      </c>
      <c r="B8" s="19"/>
      <c r="G8" s="14"/>
    </row>
    <row r="9" spans="1:7" x14ac:dyDescent="0.25">
      <c r="A9" t="s">
        <v>27</v>
      </c>
      <c r="B9" s="14">
        <f>$G$9/12</f>
        <v>6000</v>
      </c>
      <c r="D9" t="s">
        <v>28</v>
      </c>
      <c r="G9" s="14">
        <f>($B$6+$B$7+$B$8)*12</f>
        <v>72000</v>
      </c>
    </row>
    <row r="10" spans="1:7" x14ac:dyDescent="0.25">
      <c r="B10" s="14"/>
      <c r="G10" s="14"/>
    </row>
    <row r="11" spans="1:7" x14ac:dyDescent="0.25">
      <c r="B11" s="14"/>
      <c r="G11" s="14"/>
    </row>
    <row r="12" spans="1:7" x14ac:dyDescent="0.25">
      <c r="A12" s="13" t="s">
        <v>64</v>
      </c>
      <c r="B12" s="18"/>
      <c r="C12" s="9"/>
      <c r="D12" s="9"/>
      <c r="E12" s="9"/>
      <c r="F12" s="9"/>
      <c r="G12" s="18"/>
    </row>
    <row r="13" spans="1:7" x14ac:dyDescent="0.25">
      <c r="B13" s="14"/>
      <c r="G13" s="14"/>
    </row>
    <row r="14" spans="1:7" x14ac:dyDescent="0.25">
      <c r="A14" t="s">
        <v>29</v>
      </c>
      <c r="B14" s="19">
        <f>Rentabilité!G10</f>
        <v>150000</v>
      </c>
      <c r="D14" t="s">
        <v>30</v>
      </c>
      <c r="G14" s="19">
        <v>30</v>
      </c>
    </row>
    <row r="15" spans="1:7" x14ac:dyDescent="0.25">
      <c r="A15" t="s">
        <v>31</v>
      </c>
      <c r="B15" s="20">
        <f>Rentabilité!G11</f>
        <v>1.4E-2</v>
      </c>
      <c r="D15" t="s">
        <v>32</v>
      </c>
      <c r="G15" s="21">
        <f>-PMT(($B$15)/12,$B$16*12,$B$14)</f>
        <v>924.37782025815363</v>
      </c>
    </row>
    <row r="16" spans="1:7" x14ac:dyDescent="0.25">
      <c r="A16" t="s">
        <v>33</v>
      </c>
      <c r="B16" s="14">
        <f>Rentabilité!G12</f>
        <v>15</v>
      </c>
      <c r="D16" t="s">
        <v>34</v>
      </c>
      <c r="G16" s="21">
        <f>-(G15+G14)</f>
        <v>-954.37782025815363</v>
      </c>
    </row>
    <row r="17" spans="1:7" x14ac:dyDescent="0.25">
      <c r="B17" s="14"/>
      <c r="G17" s="21"/>
    </row>
    <row r="18" spans="1:7" x14ac:dyDescent="0.25">
      <c r="B18" s="14"/>
      <c r="G18" s="14"/>
    </row>
    <row r="19" spans="1:7" x14ac:dyDescent="0.25">
      <c r="A19" s="13" t="s">
        <v>65</v>
      </c>
      <c r="B19" s="18"/>
      <c r="C19" s="9"/>
      <c r="D19" s="9"/>
      <c r="E19" s="9"/>
      <c r="F19" s="9"/>
      <c r="G19" s="18"/>
    </row>
    <row r="20" spans="1:7" x14ac:dyDescent="0.25">
      <c r="B20" s="14"/>
      <c r="G20" s="14"/>
    </row>
    <row r="21" spans="1:7" x14ac:dyDescent="0.25">
      <c r="A21" t="s">
        <v>35</v>
      </c>
      <c r="B21" s="19">
        <v>400</v>
      </c>
      <c r="D21" t="s">
        <v>36</v>
      </c>
      <c r="G21" s="14">
        <f>$B$14-$B$21-$B$22</f>
        <v>149500</v>
      </c>
    </row>
    <row r="22" spans="1:7" x14ac:dyDescent="0.25">
      <c r="A22" t="s">
        <v>37</v>
      </c>
      <c r="B22" s="19">
        <v>100</v>
      </c>
    </row>
    <row r="23" spans="1:7" x14ac:dyDescent="0.25">
      <c r="B23" s="14"/>
    </row>
    <row r="24" spans="1:7" x14ac:dyDescent="0.25">
      <c r="B24" s="14"/>
    </row>
    <row r="25" spans="1:7" s="8" customFormat="1" x14ac:dyDescent="0.25"/>
    <row r="27" spans="1:7" x14ac:dyDescent="0.25">
      <c r="A27" s="17"/>
    </row>
    <row r="28" spans="1:7" x14ac:dyDescent="0.25">
      <c r="A28" s="17" t="s">
        <v>38</v>
      </c>
      <c r="B28" t="s">
        <v>39</v>
      </c>
      <c r="C28" t="s">
        <v>40</v>
      </c>
      <c r="D28" t="s">
        <v>41</v>
      </c>
      <c r="E28" t="s">
        <v>53</v>
      </c>
      <c r="F28" t="s">
        <v>42</v>
      </c>
    </row>
    <row r="29" spans="1:7" x14ac:dyDescent="0.25">
      <c r="A29" s="14"/>
      <c r="B29" s="14">
        <f>SUM(C35:C509)</f>
        <v>480</v>
      </c>
      <c r="C29" s="14">
        <f>SUM(D35:D509)</f>
        <v>2558598.9237849279</v>
      </c>
      <c r="D29" s="14">
        <f>$B$14</f>
        <v>150000</v>
      </c>
      <c r="E29" s="14">
        <f>$B$21+$B$22</f>
        <v>500</v>
      </c>
      <c r="F29" s="14">
        <f>SUM(G35:G509)+E29</f>
        <v>500</v>
      </c>
    </row>
    <row r="31" spans="1:7" x14ac:dyDescent="0.25">
      <c r="A31" s="9" t="s">
        <v>66</v>
      </c>
      <c r="B31" s="9"/>
      <c r="C31" s="9"/>
      <c r="D31" s="9"/>
      <c r="E31" s="9"/>
      <c r="F31" s="9"/>
      <c r="G31" s="9"/>
    </row>
    <row r="33" spans="1:6" x14ac:dyDescent="0.25">
      <c r="A33" s="15" t="s">
        <v>54</v>
      </c>
      <c r="B33" s="16" t="s">
        <v>43</v>
      </c>
      <c r="C33" s="16" t="s">
        <v>40</v>
      </c>
      <c r="D33" s="16" t="s">
        <v>44</v>
      </c>
      <c r="E33" s="16" t="s">
        <v>45</v>
      </c>
      <c r="F33" s="16" t="s">
        <v>46</v>
      </c>
    </row>
    <row r="34" spans="1:6" x14ac:dyDescent="0.25">
      <c r="A34" s="14">
        <v>0</v>
      </c>
      <c r="D34">
        <f>$D$29</f>
        <v>150000</v>
      </c>
    </row>
    <row r="35" spans="1:6" x14ac:dyDescent="0.25">
      <c r="A35" s="14">
        <v>1</v>
      </c>
      <c r="B35">
        <f>IF(A35&lt;=($B$16*12),D34*($B$15)/12,0)</f>
        <v>175</v>
      </c>
      <c r="C35">
        <f>IF(A35&lt;=($B$16*12),$G$14,0)</f>
        <v>30</v>
      </c>
      <c r="D35">
        <f>IF(A35&lt;=($B$16*12),+D34-E35,0)</f>
        <v>151159.37782025815</v>
      </c>
      <c r="E35">
        <f>IF(A35&lt;=($B$16*12),+F35-B35-C35,0)</f>
        <v>-1159.3778202581536</v>
      </c>
      <c r="F35">
        <f>IF(A35&lt;=($B$16*12),$G$16,0)</f>
        <v>-954.37782025815363</v>
      </c>
    </row>
    <row r="36" spans="1:6" x14ac:dyDescent="0.25">
      <c r="A36" s="14">
        <f t="shared" ref="A36:A46" si="0">IF(A35&lt;($B$16*12),A35+1," ")</f>
        <v>2</v>
      </c>
      <c r="B36">
        <f>IF(A36&lt;=($B$16*12),D35*($B$15)/12,0)</f>
        <v>176.35260745696783</v>
      </c>
      <c r="C36">
        <f>IF(A36&lt;=($B$16*12),$G$14,0)</f>
        <v>30</v>
      </c>
      <c r="D36">
        <f>IF(A36&lt;=($B$16*12),+D35-E36,0)</f>
        <v>152320.10824797326</v>
      </c>
      <c r="E36">
        <f>IF(A36&lt;=($B$16*12),+F36-B36-C36,0)</f>
        <v>-1160.7304277151216</v>
      </c>
      <c r="F36">
        <f>IF(A36&lt;=($B$16*12),$G$16,0)</f>
        <v>-954.37782025815363</v>
      </c>
    </row>
    <row r="37" spans="1:6" x14ac:dyDescent="0.25">
      <c r="A37" s="14">
        <f t="shared" si="0"/>
        <v>3</v>
      </c>
      <c r="B37">
        <f>IF(A37&lt;=($B$16*12),D36*($B$15)/12,0)</f>
        <v>177.70679295596881</v>
      </c>
      <c r="C37">
        <f>IF(A37&lt;=($B$16*12),$G$14,0)</f>
        <v>30</v>
      </c>
      <c r="D37">
        <f>IF(A37&lt;=($B$16*12),+D36-E37,0)</f>
        <v>153482.19286118739</v>
      </c>
      <c r="E37">
        <f>IF(A37&lt;=($B$16*12),+F37-B37-C37,0)</f>
        <v>-1162.0846132141223</v>
      </c>
      <c r="F37">
        <f>IF(A37&lt;=($B$16*12),$G$16,0)</f>
        <v>-954.37782025815363</v>
      </c>
    </row>
    <row r="38" spans="1:6" x14ac:dyDescent="0.25">
      <c r="A38" s="14">
        <f t="shared" si="0"/>
        <v>4</v>
      </c>
      <c r="B38">
        <f>IF(A38&lt;=($B$16*12),D37*($B$15)/12,0)</f>
        <v>179.06255833805196</v>
      </c>
      <c r="C38">
        <f>IF(A38&lt;=($B$16*12),$G$14,0)</f>
        <v>30</v>
      </c>
      <c r="D38">
        <f>IF(A38&lt;=($B$16*12),+D37-E38,0)</f>
        <v>154645.63323978358</v>
      </c>
      <c r="E38">
        <f>IF(A38&lt;=($B$16*12),+F38-B38-C38,0)</f>
        <v>-1163.4403785962056</v>
      </c>
      <c r="F38">
        <f>IF(A38&lt;=($B$16*12),$G$16,0)</f>
        <v>-954.37782025815363</v>
      </c>
    </row>
    <row r="39" spans="1:6" x14ac:dyDescent="0.25">
      <c r="A39" s="14">
        <f t="shared" si="0"/>
        <v>5</v>
      </c>
      <c r="B39">
        <f>IF(A39&lt;=($B$16*12),D38*($B$15)/12,0)</f>
        <v>180.41990544641419</v>
      </c>
      <c r="C39">
        <f>IF(A39&lt;=($B$16*12),$G$14,0)</f>
        <v>30</v>
      </c>
      <c r="D39">
        <f>IF(A39&lt;=($B$16*12),+D38-E39,0)</f>
        <v>155810.43096548814</v>
      </c>
      <c r="E39">
        <f>IF(A39&lt;=($B$16*12),+F39-B39-C39,0)</f>
        <v>-1164.7977257045677</v>
      </c>
      <c r="F39">
        <f>IF(A39&lt;=($B$16*12),$G$16,0)</f>
        <v>-954.37782025815363</v>
      </c>
    </row>
    <row r="40" spans="1:6" x14ac:dyDescent="0.25">
      <c r="A40" s="14">
        <f t="shared" si="0"/>
        <v>6</v>
      </c>
      <c r="B40">
        <f>IF(A40&lt;=($B$16*12),D39*($B$15)/12,0)</f>
        <v>181.77883612640281</v>
      </c>
      <c r="C40">
        <f>IF(A40&lt;=($B$16*12),$G$14,0)</f>
        <v>30</v>
      </c>
      <c r="D40">
        <f>IF(A40&lt;=($B$16*12),+D39-E40,0)</f>
        <v>156976.58762187269</v>
      </c>
      <c r="E40">
        <f>IF(A40&lt;=($B$16*12),+F40-B40-C40,0)</f>
        <v>-1166.1566563845565</v>
      </c>
      <c r="F40">
        <f>IF(A40&lt;=($B$16*12),$G$16,0)</f>
        <v>-954.37782025815363</v>
      </c>
    </row>
    <row r="41" spans="1:6" x14ac:dyDescent="0.25">
      <c r="A41" s="14">
        <f t="shared" si="0"/>
        <v>7</v>
      </c>
      <c r="B41">
        <f>IF(A41&lt;=($B$16*12),D40*($B$15)/12,0)</f>
        <v>183.13935222551814</v>
      </c>
      <c r="C41">
        <f>IF(A41&lt;=($B$16*12),$G$14,0)</f>
        <v>30</v>
      </c>
      <c r="D41">
        <f>IF(A41&lt;=($B$16*12),+D40-E41,0)</f>
        <v>158144.10479435636</v>
      </c>
      <c r="E41">
        <f>IF(A41&lt;=($B$16*12),+F41-B41-C41,0)</f>
        <v>-1167.5171724836719</v>
      </c>
      <c r="F41">
        <f>IF(A41&lt;=($B$16*12),$G$16,0)</f>
        <v>-954.37782025815363</v>
      </c>
    </row>
    <row r="42" spans="1:6" x14ac:dyDescent="0.25">
      <c r="A42" s="14">
        <f t="shared" si="0"/>
        <v>8</v>
      </c>
      <c r="B42">
        <f>IF(A42&lt;=($B$16*12),D41*($B$15)/12,0)</f>
        <v>184.50145559341578</v>
      </c>
      <c r="C42">
        <f>IF(A42&lt;=($B$16*12),$G$14,0)</f>
        <v>30</v>
      </c>
      <c r="D42">
        <f>IF(A42&lt;=($B$16*12),+D41-E42,0)</f>
        <v>159312.98407020792</v>
      </c>
      <c r="E42">
        <f>IF(A42&lt;=($B$16*12),+F42-B42-C42,0)</f>
        <v>-1168.8792758515694</v>
      </c>
      <c r="F42">
        <f>IF(A42&lt;=($B$16*12),$G$16,0)</f>
        <v>-954.37782025815363</v>
      </c>
    </row>
    <row r="43" spans="1:6" x14ac:dyDescent="0.25">
      <c r="A43" s="14">
        <f t="shared" si="0"/>
        <v>9</v>
      </c>
      <c r="B43">
        <f>IF(A43&lt;=($B$16*12),D42*($B$15)/12,0)</f>
        <v>185.86514808190927</v>
      </c>
      <c r="C43">
        <f>IF(A43&lt;=($B$16*12),$G$14,0)</f>
        <v>30</v>
      </c>
      <c r="D43">
        <f>IF(A43&lt;=($B$16*12),+D42-E43,0)</f>
        <v>160483.22703854798</v>
      </c>
      <c r="E43">
        <f>IF(A43&lt;=($B$16*12),+F43-B43-C43,0)</f>
        <v>-1170.2429683400628</v>
      </c>
      <c r="F43">
        <f>IF(A43&lt;=($B$16*12),$G$16,0)</f>
        <v>-954.37782025815363</v>
      </c>
    </row>
    <row r="44" spans="1:6" x14ac:dyDescent="0.25">
      <c r="A44" s="14">
        <f t="shared" si="0"/>
        <v>10</v>
      </c>
      <c r="B44">
        <f>IF(A44&lt;=($B$16*12),D43*($B$15)/12,0)</f>
        <v>187.23043154497262</v>
      </c>
      <c r="C44">
        <f>IF(A44&lt;=($B$16*12),$G$14,0)</f>
        <v>30</v>
      </c>
      <c r="D44">
        <f>IF(A44&lt;=($B$16*12),+D43-E44,0)</f>
        <v>161654.8352903511</v>
      </c>
      <c r="E44">
        <f>IF(A44&lt;=($B$16*12),+F44-B44-C44,0)</f>
        <v>-1171.6082518031262</v>
      </c>
      <c r="F44">
        <f>IF(A44&lt;=($B$16*12),$G$16,0)</f>
        <v>-954.37782025815363</v>
      </c>
    </row>
    <row r="45" spans="1:6" x14ac:dyDescent="0.25">
      <c r="A45" s="14">
        <f t="shared" si="0"/>
        <v>11</v>
      </c>
      <c r="B45">
        <f>IF(A45&lt;=($B$16*12),D44*($B$15)/12,0)</f>
        <v>188.59730783874295</v>
      </c>
      <c r="C45">
        <f>IF(A45&lt;=($B$16*12),$G$14,0)</f>
        <v>30</v>
      </c>
      <c r="D45">
        <f>IF(A45&lt;=($B$16*12),+D44-E45,0)</f>
        <v>162827.810418448</v>
      </c>
      <c r="E45">
        <f>IF(A45&lt;=($B$16*12),+F45-B45-C45,0)</f>
        <v>-1172.9751280968967</v>
      </c>
      <c r="F45">
        <f>IF(A45&lt;=($B$16*12),$G$16,0)</f>
        <v>-954.37782025815363</v>
      </c>
    </row>
    <row r="46" spans="1:6" x14ac:dyDescent="0.25">
      <c r="A46" s="14">
        <f t="shared" si="0"/>
        <v>12</v>
      </c>
      <c r="B46">
        <f>IF(A46&lt;=($B$16*12),D45*($B$15)/12,0)</f>
        <v>189.96577882152269</v>
      </c>
      <c r="C46">
        <f>IF(A46&lt;=($B$16*12),$G$14,0)</f>
        <v>30</v>
      </c>
      <c r="D46">
        <f>IF(A46&lt;=($B$16*12),+D45-E46,0)</f>
        <v>164002.15401752768</v>
      </c>
      <c r="E46">
        <f>IF(A46&lt;=($B$16*12),+F46-B46-C46,0)</f>
        <v>-1174.3435990796763</v>
      </c>
      <c r="F46">
        <f>IF(A46&lt;=($B$16*12),$G$16,0)</f>
        <v>-954.37782025815363</v>
      </c>
    </row>
    <row r="47" spans="1:6" x14ac:dyDescent="0.25">
      <c r="A47" s="14">
        <f t="shared" ref="A47:A50" si="1">IF(A46&lt;($B$16*12),A46+1," ")</f>
        <v>13</v>
      </c>
      <c r="B47">
        <f>IF(A47&lt;=($B$16*12),D46*($B$15)/12,0)</f>
        <v>191.33584635378227</v>
      </c>
      <c r="C47">
        <f>IF(A47&lt;=($B$16*12),$G$14,0)</f>
        <v>30</v>
      </c>
      <c r="D47">
        <f>IF(A47&lt;=($B$16*12),+D46-E47,0)</f>
        <v>165177.86768413961</v>
      </c>
      <c r="E47">
        <f>IF(A47&lt;=($B$16*12),+F47-B47-C47,0)</f>
        <v>-1175.7136666119359</v>
      </c>
      <c r="F47">
        <f>IF(A47&lt;=($B$16*12),$G$16,0)</f>
        <v>-954.37782025815363</v>
      </c>
    </row>
    <row r="48" spans="1:6" x14ac:dyDescent="0.25">
      <c r="A48" s="14">
        <f t="shared" si="1"/>
        <v>14</v>
      </c>
      <c r="B48">
        <f>IF(A48&lt;=($B$16*12),D47*($B$15)/12,0)</f>
        <v>192.7075122981629</v>
      </c>
      <c r="C48">
        <f>IF(A48&lt;=($B$16*12),$G$14,0)</f>
        <v>30</v>
      </c>
      <c r="D48">
        <f>IF(A48&lt;=($B$16*12),+D47-E48,0)</f>
        <v>166354.95301669592</v>
      </c>
      <c r="E48">
        <f>IF(A48&lt;=($B$16*12),+F48-B48-C48,0)</f>
        <v>-1177.0853325563166</v>
      </c>
      <c r="F48">
        <f>IF(A48&lt;=($B$16*12),$G$16,0)</f>
        <v>-954.37782025815363</v>
      </c>
    </row>
    <row r="49" spans="1:6" x14ac:dyDescent="0.25">
      <c r="A49" s="14">
        <f t="shared" si="1"/>
        <v>15</v>
      </c>
      <c r="B49">
        <f>IF(A49&lt;=($B$16*12),D48*($B$15)/12,0)</f>
        <v>194.08077851947857</v>
      </c>
      <c r="C49">
        <f>IF(A49&lt;=($B$16*12),$G$14,0)</f>
        <v>30</v>
      </c>
      <c r="D49">
        <f>IF(A49&lt;=($B$16*12),+D48-E49,0)</f>
        <v>167533.41161547354</v>
      </c>
      <c r="E49">
        <f>IF(A49&lt;=($B$16*12),+F49-B49-C49,0)</f>
        <v>-1178.4585987776322</v>
      </c>
      <c r="F49">
        <f>IF(A49&lt;=($B$16*12),$G$16,0)</f>
        <v>-954.37782025815363</v>
      </c>
    </row>
    <row r="50" spans="1:6" x14ac:dyDescent="0.25">
      <c r="A50" s="14">
        <f t="shared" si="1"/>
        <v>16</v>
      </c>
      <c r="B50">
        <f>IF(A50&lt;=($B$16*12),D49*($B$15)/12,0)</f>
        <v>195.45564688471913</v>
      </c>
      <c r="C50">
        <f>IF(A50&lt;=($B$16*12),$G$14,0)</f>
        <v>30</v>
      </c>
      <c r="D50">
        <f>IF(A50&lt;=($B$16*12),+D49-E50,0)</f>
        <v>168713.2450826164</v>
      </c>
      <c r="E50">
        <f>IF(A50&lt;=($B$16*12),+F50-B50-C50,0)</f>
        <v>-1179.8334671428727</v>
      </c>
      <c r="F50">
        <f>IF(A50&lt;=($B$16*12),$G$16,0)</f>
        <v>-954.37782025815363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Rentabilité</vt:lpstr>
      <vt:lpstr>Emprunt</vt:lpstr>
      <vt:lpstr>Feuil3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Olivier Morel</cp:lastModifiedBy>
  <dcterms:created xsi:type="dcterms:W3CDTF">2018-06-29T10:52:13Z</dcterms:created>
  <dcterms:modified xsi:type="dcterms:W3CDTF">2018-07-08T17:46:35Z</dcterms:modified>
</cp:coreProperties>
</file>